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 codeName="ThisWorkbook"/>
  <mc:AlternateContent xmlns:mc="http://schemas.openxmlformats.org/markup-compatibility/2006">
    <mc:Choice Requires="x15">
      <x15ac:absPath xmlns:x15ac="http://schemas.microsoft.com/office/spreadsheetml/2010/11/ac" url="/Users/Rob/Library/CloudStorage/OneDrive-HypercubeBusinessInnovation/MinIenW/Aanvragen TVOV 2023/Aanvraagformulieren/"/>
    </mc:Choice>
  </mc:AlternateContent>
  <xr:revisionPtr revIDLastSave="0" documentId="13_ncr:1_{50EA1EB6-291E-9043-9FCF-E8D1B73FEED4}" xr6:coauthVersionLast="47" xr6:coauthVersionMax="47" xr10:uidLastSave="{00000000-0000-0000-0000-000000000000}"/>
  <bookViews>
    <workbookView xWindow="12760" yWindow="2560" windowWidth="34660" windowHeight="19160" xr2:uid="{00000000-000D-0000-FFFF-FFFF00000000}"/>
  </bookViews>
  <sheets>
    <sheet name="Toe te kennen TVOV 2023" sheetId="2" r:id="rId1"/>
    <sheet name="TVOV 2023 max" sheetId="3" r:id="rId2"/>
    <sheet name="Vast te stellen TVOV 2023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1" i="2" l="1"/>
  <c r="E41" i="4"/>
  <c r="E46" i="4"/>
  <c r="E55" i="4" s="1"/>
  <c r="E45" i="4"/>
  <c r="E37" i="4"/>
  <c r="E47" i="4" s="1"/>
  <c r="E51" i="4" s="1"/>
  <c r="F51" i="4" s="1"/>
  <c r="D37" i="4"/>
  <c r="A10" i="4" l="1"/>
  <c r="A10" i="3"/>
  <c r="M45" i="2"/>
  <c r="G46" i="2"/>
  <c r="M37" i="2"/>
  <c r="L37" i="2"/>
  <c r="E27" i="4"/>
  <c r="E15" i="4"/>
  <c r="E16" i="4"/>
  <c r="E17" i="4"/>
  <c r="E18" i="4"/>
  <c r="E14" i="4"/>
  <c r="I35" i="3" l="1"/>
  <c r="E27" i="3" l="1"/>
  <c r="E18" i="3"/>
  <c r="E17" i="3"/>
  <c r="E16" i="3"/>
  <c r="E15" i="3"/>
  <c r="E14" i="3"/>
  <c r="I48" i="3"/>
  <c r="I43" i="3"/>
  <c r="I40" i="3"/>
  <c r="I39" i="3"/>
  <c r="I36" i="3"/>
  <c r="I34" i="3"/>
  <c r="D37" i="3"/>
  <c r="E28" i="2"/>
  <c r="E28" i="4" l="1"/>
  <c r="H46" i="2"/>
  <c r="I44" i="3"/>
  <c r="H49" i="2"/>
  <c r="I37" i="3"/>
  <c r="I46" i="3" s="1"/>
  <c r="E28" i="3"/>
  <c r="J46" i="3" l="1"/>
  <c r="J45" i="3"/>
  <c r="J44" i="3"/>
  <c r="E57" i="3" s="1"/>
  <c r="J48" i="3"/>
  <c r="J49" i="3" s="1"/>
  <c r="J51" i="3" l="1"/>
  <c r="E55" i="3"/>
  <c r="E56" i="3" s="1"/>
  <c r="E59" i="3" s="1"/>
  <c r="E56" i="4" s="1"/>
  <c r="E57" i="4" s="1"/>
  <c r="E58" i="4" l="1"/>
  <c r="K51" i="3"/>
  <c r="E60" i="3"/>
  <c r="F60" i="3" s="1"/>
  <c r="D37" i="2"/>
  <c r="E59" i="4" l="1"/>
  <c r="E61" i="4" s="1"/>
  <c r="E62" i="4" s="1"/>
  <c r="F62" i="4" s="1"/>
  <c r="F58" i="4"/>
  <c r="G37" i="2"/>
  <c r="G47" i="2" s="1"/>
  <c r="H47" i="2" l="1"/>
  <c r="E56" i="2" l="1"/>
  <c r="M46" i="2" l="1"/>
  <c r="E55" i="2" s="1"/>
  <c r="E57" i="2" s="1"/>
  <c r="M47" i="2"/>
  <c r="M51" i="2" s="1"/>
  <c r="N51" i="2" l="1"/>
  <c r="E58" i="2"/>
  <c r="E59" i="2" l="1"/>
  <c r="E61" i="2" s="1"/>
  <c r="E62" i="2" s="1"/>
  <c r="F62" i="2" s="1"/>
  <c r="F5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Benard, Wouter</author>
  </authors>
  <commentList>
    <comment ref="D43" authorId="0" shapeId="0" xr:uid="{9095E618-30D2-5341-BAE9-D79CA9EF1C09}">
      <text>
        <r>
          <rPr>
            <sz val="9"/>
            <color rgb="FF000000"/>
            <rFont val="Tahoma"/>
            <family val="2"/>
          </rPr>
          <t xml:space="preserve">Waaronder: 
</t>
        </r>
        <r>
          <rPr>
            <sz val="9"/>
            <color rgb="FF000000"/>
            <rFont val="Tahoma"/>
            <family val="2"/>
          </rPr>
          <t xml:space="preserve">- Andere opbrengsten of subsidies in het kader van naleven beleid voorkomen verspreiding covid-19
</t>
        </r>
        <r>
          <rPr>
            <sz val="9"/>
            <color rgb="FF000000"/>
            <rFont val="Tahoma"/>
            <family val="2"/>
          </rPr>
          <t>- Rentebaten</t>
        </r>
      </text>
    </comment>
  </commentList>
</comments>
</file>

<file path=xl/sharedStrings.xml><?xml version="1.0" encoding="utf-8"?>
<sst xmlns="http://schemas.openxmlformats.org/spreadsheetml/2006/main" count="188" uniqueCount="90">
  <si>
    <t>Algemene inputs</t>
  </si>
  <si>
    <t>Valuta</t>
  </si>
  <si>
    <t>Nominatie</t>
  </si>
  <si>
    <t>EUR</t>
  </si>
  <si>
    <t>Datum</t>
  </si>
  <si>
    <t>Periode</t>
  </si>
  <si>
    <t>Maanden</t>
  </si>
  <si>
    <t>Start datum</t>
  </si>
  <si>
    <t>Datum indienen aanvraag</t>
  </si>
  <si>
    <t>Subsidies conform contract</t>
  </si>
  <si>
    <t>Vaste exploitatiebijdrage door concessieverlener</t>
  </si>
  <si>
    <t>OCW contract studentenkaart</t>
  </si>
  <si>
    <t>Dekkingsgraad totale kosten</t>
  </si>
  <si>
    <t>Aanvullende subsidies en opbrengsten</t>
  </si>
  <si>
    <t>Directe opbrengsten van reizigers</t>
  </si>
  <si>
    <t>A1</t>
  </si>
  <si>
    <t>A2</t>
  </si>
  <si>
    <t>O1</t>
  </si>
  <si>
    <t>O2</t>
  </si>
  <si>
    <t>O3.</t>
  </si>
  <si>
    <t>O4.</t>
  </si>
  <si>
    <t>K1</t>
  </si>
  <si>
    <t>B1</t>
  </si>
  <si>
    <t>Andere opbrengsten (waaronder subsidies in het kader van naleven beleid voorkomen verspreiding COVID-19 &amp; rentebaten)</t>
  </si>
  <si>
    <t>eind datum</t>
  </si>
  <si>
    <t>template aanvraag beschikbaarheidsvergoeding OV 2021</t>
  </si>
  <si>
    <t>inputveld</t>
  </si>
  <si>
    <t>Specifieke inputs</t>
  </si>
  <si>
    <t>K0</t>
  </si>
  <si>
    <t>Naam concessiehouder</t>
  </si>
  <si>
    <t>Naam concessie</t>
  </si>
  <si>
    <t>Naam concessieverlener</t>
  </si>
  <si>
    <t>Kostendekkingsgraad TVOV 2023</t>
  </si>
  <si>
    <t>Toe te passen index om referentiekosten en opbrengsten op prijspeil 2023 te brengen</t>
  </si>
  <si>
    <t xml:space="preserve">Referentiejaar oude normaal kosten en opbrengsten </t>
  </si>
  <si>
    <t>Referentieopbrengsten (prijspeil referentiejaar)</t>
  </si>
  <si>
    <t>Berekening TVOV 2023</t>
  </si>
  <si>
    <t>Verwachte mate van herstel directe reizigersopbrengsten (% van referentie)</t>
  </si>
  <si>
    <t>O3'.</t>
  </si>
  <si>
    <t>Berekening toe te kennen TVOV 2023</t>
  </si>
  <si>
    <t>Maximale TVOV 2023 (82% herstel directe reizigersopbrengsten)</t>
  </si>
  <si>
    <t>Berekening plafond TVOV 2023</t>
  </si>
  <si>
    <t>Verwacht rendement 2023 (excl tvov)</t>
  </si>
  <si>
    <t>Totale referentiekosten 2023</t>
  </si>
  <si>
    <t>Alleen geel gemarkeerde velden zijn bedoeld voor input</t>
  </si>
  <si>
    <t>Prestatieafhankelijke bijdragen concessieverlener</t>
  </si>
  <si>
    <t>Totale verwachte, veronderstelde opbrengsten periode in 2023 (excl prestatieafhankelijk, grondslag bvov) bij 82% herstel</t>
  </si>
  <si>
    <t>Prijspeil referentiejaar</t>
  </si>
  <si>
    <t>Prijspeil 2023</t>
  </si>
  <si>
    <t>Totaal verwachte referentieopbrengsten exclusief prestatieafhankelijke subsidies</t>
  </si>
  <si>
    <t>Waarvan verwachte directe reizigersopbrengsten in 2023</t>
  </si>
  <si>
    <t xml:space="preserve">Totaal integrale referentieopbrengsten inclusief prestatieafhankelijk </t>
  </si>
  <si>
    <t xml:space="preserve">Totaal referentiekosten (incl. afschrijvingen / financieringskosten) </t>
  </si>
  <si>
    <t>Totaal veronderstelde kosten (incl. afschrijvingen / financieringskosten) op basis van 95% integrale referentiekosten</t>
  </si>
  <si>
    <t>Tussenresultaat TVOV 2023 aan plafond te toetsen</t>
  </si>
  <si>
    <t>Verwacht rendement (incl tvov)</t>
  </si>
  <si>
    <t>Eventueel afromen TVOV 2023 in geval van rendement</t>
  </si>
  <si>
    <t>Aan plafond getoetste TVOV 2023</t>
  </si>
  <si>
    <t>Berekening vast te stellen TVOV 2023</t>
  </si>
  <si>
    <t>Verwachte opbrengsten (prijspeil 2023)</t>
  </si>
  <si>
    <t>O1R</t>
  </si>
  <si>
    <t>O2R</t>
  </si>
  <si>
    <t>O3R</t>
  </si>
  <si>
    <t>Verwachte mate van herstel directe reizigersopbrengsten (% van referentie op prijspeil 2023)</t>
  </si>
  <si>
    <t>O4R</t>
  </si>
  <si>
    <t>Totaal referentieopbrengsten exclusief prestatieafhankelijke subsidies</t>
  </si>
  <si>
    <t xml:space="preserve">Totaal verwachte kosten (incl. afschrijvingen / financieringskosten) </t>
  </si>
  <si>
    <t>O4a</t>
  </si>
  <si>
    <t>O4b</t>
  </si>
  <si>
    <t>O4</t>
  </si>
  <si>
    <t>Totaal andere opbrengsten</t>
  </si>
  <si>
    <t>Extra bijdrage concessieverlener om reden transitie 2023</t>
  </si>
  <si>
    <t>Rentebaten, subsidies zoals om reden van naleven beleid voorkomen verspreiding COVID-19,….</t>
  </si>
  <si>
    <t>Totaal verwachte opbrengsten exclusief prestatieafhankelijke subsidies (O1b) en extra bijdrage transitie 2023 (O4b)</t>
  </si>
  <si>
    <t>O1a</t>
  </si>
  <si>
    <t>O1b</t>
  </si>
  <si>
    <t>O1c</t>
  </si>
  <si>
    <t>O1Ra</t>
  </si>
  <si>
    <t>O1Rb</t>
  </si>
  <si>
    <t>O1Rc</t>
  </si>
  <si>
    <t>Verwacht rendement (incl aan plafond getoetste tvov)</t>
  </si>
  <si>
    <t>Template aanvraag Transitievergoeding OV 2023</t>
  </si>
  <si>
    <t>Daadwerkelijke opbrengsten (prijspeil 2023)</t>
  </si>
  <si>
    <t>Mate van herstel directe reizigersopbrengsten (% van referentie op prijspeil 2023)</t>
  </si>
  <si>
    <t>Totaal daadwerkelijke opbrengsten exclusief prestatieafhankelijke subsidies (O1b) en extra bijdrage transitie 2023 (O4b)</t>
  </si>
  <si>
    <t>Totaal integrale daadwerkelijke opbrengsten</t>
  </si>
  <si>
    <t xml:space="preserve">Totaal daadwerkelijke kosten (incl. afschrijvingen / financieringskosten) </t>
  </si>
  <si>
    <t>Totaal integrale verwachte opbrengsten</t>
  </si>
  <si>
    <t>Rendement 2023 (excl tvov)</t>
  </si>
  <si>
    <t>Rendement (incl tvov)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</si>
</sst>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€&quot;\ * #,##0.00_);_(&quot;€&quot;\ * \(#,##0.00\);_(&quot;€&quot;\ * &quot;-&quot;??_);_(@_)"/>
    <numFmt numFmtId="164" formatCode="_ * #,##0.00_ ;_ * \-#,##0.00_ ;_ * &quot;-&quot;??_ ;_ @_ "/>
    <numFmt numFmtId="165" formatCode="d\ [$-409]mmm\ yy;\-;\-"/>
    <numFmt numFmtId="166" formatCode="#,##0_);\(#,##0\);\-_);@_)"/>
    <numFmt numFmtId="167" formatCode="#,##0.0%_);\(#,##0.0\)%;\-_);@_)"/>
    <numFmt numFmtId="168" formatCode="_ * #,##0.0_ ;_ * \-#,##0.0_ ;_ * &quot;-&quot;??_ ;_ @_ "/>
    <numFmt numFmtId="169" formatCode="#,##0.00%_);\(#,##0.00\)%;\-_);@_)"/>
    <numFmt numFmtId="170" formatCode="_(&quot;€&quot;\ * #,##0_);_(&quot;€&quot;\ * \(#,##0\);_(&quot;€&quot;\ * &quot;-&quot;??_);_(@_)"/>
    <numFmt numFmtId="171" formatCode="_ * #,##0_ ;_ * \-#,##0_ ;_ * &quot;-&quot;??_ ;_ @_ "/>
    <numFmt numFmtId="172" formatCode="0.0000%"/>
    <numFmt numFmtId="173" formatCode="0.00000000%"/>
    <numFmt numFmtId="174" formatCode="0.0%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9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73">
    <xf numFmtId="0" fontId="0" fillId="0" borderId="0" xfId="0"/>
    <xf numFmtId="0" fontId="1" fillId="2" borderId="0" xfId="0" applyFont="1" applyFill="1" applyProtection="1">
      <protection locked="0"/>
    </xf>
    <xf numFmtId="167" fontId="1" fillId="2" borderId="0" xfId="0" applyNumberFormat="1" applyFont="1" applyFill="1" applyProtection="1">
      <protection locked="0"/>
    </xf>
    <xf numFmtId="14" fontId="1" fillId="2" borderId="0" xfId="0" applyNumberFormat="1" applyFont="1" applyFill="1" applyProtection="1">
      <protection locked="0"/>
    </xf>
    <xf numFmtId="1" fontId="1" fillId="2" borderId="0" xfId="0" applyNumberFormat="1" applyFont="1" applyFill="1" applyProtection="1">
      <protection locked="0"/>
    </xf>
    <xf numFmtId="170" fontId="1" fillId="2" borderId="0" xfId="3" applyNumberFormat="1" applyFont="1" applyFill="1" applyBorder="1" applyProtection="1">
      <protection locked="0"/>
    </xf>
    <xf numFmtId="0" fontId="1" fillId="0" borderId="0" xfId="0" applyFont="1"/>
    <xf numFmtId="0" fontId="2" fillId="0" borderId="0" xfId="0" applyFont="1"/>
    <xf numFmtId="0" fontId="1" fillId="4" borderId="0" xfId="0" applyFont="1" applyFill="1"/>
    <xf numFmtId="0" fontId="1" fillId="5" borderId="0" xfId="0" applyFont="1" applyFill="1"/>
    <xf numFmtId="1" fontId="6" fillId="0" borderId="0" xfId="0" applyNumberFormat="1" applyFont="1"/>
    <xf numFmtId="173" fontId="6" fillId="6" borderId="0" xfId="0" applyNumberFormat="1" applyFont="1" applyFill="1"/>
    <xf numFmtId="173" fontId="6" fillId="6" borderId="0" xfId="2" applyNumberFormat="1" applyFont="1" applyFill="1" applyProtection="1"/>
    <xf numFmtId="0" fontId="5" fillId="0" borderId="0" xfId="0" applyFont="1"/>
    <xf numFmtId="0" fontId="1" fillId="3" borderId="0" xfId="0" applyFont="1" applyFill="1"/>
    <xf numFmtId="14" fontId="1" fillId="3" borderId="0" xfId="0" applyNumberFormat="1" applyFont="1" applyFill="1"/>
    <xf numFmtId="173" fontId="1" fillId="0" borderId="0" xfId="0" applyNumberFormat="1" applyFont="1"/>
    <xf numFmtId="167" fontId="1" fillId="3" borderId="0" xfId="0" applyNumberFormat="1" applyFont="1" applyFill="1"/>
    <xf numFmtId="167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6" fontId="1" fillId="0" borderId="0" xfId="0" quotePrefix="1" applyNumberFormat="1" applyFont="1"/>
    <xf numFmtId="1" fontId="1" fillId="3" borderId="0" xfId="0" applyNumberFormat="1" applyFont="1" applyFill="1"/>
    <xf numFmtId="169" fontId="1" fillId="3" borderId="0" xfId="0" applyNumberFormat="1" applyFont="1" applyFill="1"/>
    <xf numFmtId="0" fontId="3" fillId="0" borderId="0" xfId="0" applyFont="1"/>
    <xf numFmtId="168" fontId="1" fillId="3" borderId="0" xfId="1" applyNumberFormat="1" applyFont="1" applyFill="1" applyProtection="1"/>
    <xf numFmtId="171" fontId="1" fillId="3" borderId="0" xfId="1" applyNumberFormat="1" applyFont="1" applyFill="1" applyProtection="1"/>
    <xf numFmtId="166" fontId="2" fillId="0" borderId="0" xfId="0" applyNumberFormat="1" applyFont="1"/>
    <xf numFmtId="9" fontId="1" fillId="3" borderId="0" xfId="2" applyFont="1" applyFill="1" applyProtection="1"/>
    <xf numFmtId="172" fontId="1" fillId="0" borderId="0" xfId="0" applyNumberFormat="1" applyFont="1"/>
    <xf numFmtId="0" fontId="2" fillId="3" borderId="0" xfId="0" applyFont="1" applyFill="1"/>
    <xf numFmtId="166" fontId="2" fillId="3" borderId="0" xfId="0" applyNumberFormat="1" applyFont="1" applyFill="1"/>
    <xf numFmtId="166" fontId="1" fillId="3" borderId="0" xfId="0" applyNumberFormat="1" applyFont="1" applyFill="1"/>
    <xf numFmtId="0" fontId="2" fillId="6" borderId="0" xfId="0" applyFont="1" applyFill="1"/>
    <xf numFmtId="0" fontId="1" fillId="6" borderId="0" xfId="0" applyFont="1" applyFill="1"/>
    <xf numFmtId="166" fontId="2" fillId="6" borderId="0" xfId="0" applyNumberFormat="1" applyFont="1" applyFill="1"/>
    <xf numFmtId="170" fontId="1" fillId="0" borderId="0" xfId="3" applyNumberFormat="1" applyFont="1" applyFill="1" applyProtection="1"/>
    <xf numFmtId="170" fontId="2" fillId="3" borderId="0" xfId="3" applyNumberFormat="1" applyFont="1" applyFill="1" applyProtection="1"/>
    <xf numFmtId="174" fontId="1" fillId="0" borderId="0" xfId="2" applyNumberFormat="1" applyFont="1" applyProtection="1"/>
    <xf numFmtId="9" fontId="6" fillId="0" borderId="0" xfId="0" applyNumberFormat="1" applyFont="1"/>
    <xf numFmtId="0" fontId="6" fillId="0" borderId="0" xfId="0" applyFont="1"/>
    <xf numFmtId="0" fontId="2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/>
    <xf numFmtId="0" fontId="1" fillId="0" borderId="5" xfId="0" applyFont="1" applyBorder="1"/>
    <xf numFmtId="9" fontId="1" fillId="6" borderId="0" xfId="2" applyFont="1" applyFill="1" applyBorder="1" applyProtection="1"/>
    <xf numFmtId="9" fontId="2" fillId="3" borderId="0" xfId="2" applyFont="1" applyFill="1" applyBorder="1" applyProtection="1"/>
    <xf numFmtId="170" fontId="1" fillId="6" borderId="0" xfId="3" applyNumberFormat="1" applyFont="1" applyFill="1" applyBorder="1" applyProtection="1"/>
    <xf numFmtId="0" fontId="2" fillId="3" borderId="4" xfId="0" applyFont="1" applyFill="1" applyBorder="1"/>
    <xf numFmtId="170" fontId="2" fillId="3" borderId="0" xfId="3" applyNumberFormat="1" applyFont="1" applyFill="1" applyBorder="1" applyProtection="1"/>
    <xf numFmtId="170" fontId="2" fillId="3" borderId="5" xfId="3" applyNumberFormat="1" applyFont="1" applyFill="1" applyBorder="1" applyProtection="1"/>
    <xf numFmtId="170" fontId="2" fillId="6" borderId="5" xfId="3" applyNumberFormat="1" applyFont="1" applyFill="1" applyBorder="1" applyProtection="1"/>
    <xf numFmtId="170" fontId="1" fillId="3" borderId="0" xfId="3" applyNumberFormat="1" applyFont="1" applyFill="1" applyBorder="1" applyProtection="1"/>
    <xf numFmtId="170" fontId="1" fillId="3" borderId="5" xfId="3" applyNumberFormat="1" applyFont="1" applyFill="1" applyBorder="1" applyProtection="1"/>
    <xf numFmtId="170" fontId="1" fillId="6" borderId="5" xfId="3" applyNumberFormat="1" applyFont="1" applyFill="1" applyBorder="1" applyProtection="1"/>
    <xf numFmtId="0" fontId="2" fillId="6" borderId="4" xfId="0" applyFont="1" applyFill="1" applyBorder="1"/>
    <xf numFmtId="0" fontId="1" fillId="6" borderId="5" xfId="0" applyFont="1" applyFill="1" applyBorder="1"/>
    <xf numFmtId="0" fontId="5" fillId="0" borderId="4" xfId="0" applyFont="1" applyBorder="1"/>
    <xf numFmtId="170" fontId="2" fillId="0" borderId="0" xfId="3" applyNumberFormat="1" applyFont="1" applyBorder="1" applyProtection="1"/>
    <xf numFmtId="0" fontId="2" fillId="0" borderId="6" xfId="0" applyFont="1" applyBorder="1"/>
    <xf numFmtId="0" fontId="2" fillId="0" borderId="7" xfId="0" applyFont="1" applyBorder="1"/>
    <xf numFmtId="0" fontId="1" fillId="0" borderId="7" xfId="0" applyFont="1" applyBorder="1"/>
    <xf numFmtId="170" fontId="2" fillId="6" borderId="8" xfId="3" applyNumberFormat="1" applyFont="1" applyFill="1" applyBorder="1" applyProtection="1"/>
    <xf numFmtId="170" fontId="2" fillId="3" borderId="7" xfId="3" applyNumberFormat="1" applyFont="1" applyFill="1" applyBorder="1" applyProtection="1"/>
    <xf numFmtId="9" fontId="1" fillId="3" borderId="8" xfId="2" applyFont="1" applyFill="1" applyBorder="1" applyProtection="1"/>
    <xf numFmtId="0" fontId="5" fillId="6" borderId="0" xfId="0" applyFont="1" applyFill="1"/>
    <xf numFmtId="1" fontId="1" fillId="3" borderId="0" xfId="2" applyNumberFormat="1" applyFont="1" applyFill="1" applyProtection="1"/>
    <xf numFmtId="10" fontId="1" fillId="3" borderId="0" xfId="2" applyNumberFormat="1" applyFont="1" applyFill="1" applyProtection="1"/>
    <xf numFmtId="170" fontId="2" fillId="6" borderId="0" xfId="3" applyNumberFormat="1" applyFont="1" applyFill="1" applyBorder="1" applyProtection="1"/>
    <xf numFmtId="9" fontId="1" fillId="3" borderId="0" xfId="2" applyFont="1" applyFill="1" applyBorder="1" applyProtection="1"/>
    <xf numFmtId="170" fontId="1" fillId="2" borderId="0" xfId="3" applyNumberFormat="1" applyFont="1" applyFill="1" applyProtection="1">
      <protection locked="0"/>
    </xf>
  </cellXfs>
  <cellStyles count="4">
    <cellStyle name="Komma" xfId="1" builtinId="3"/>
    <cellStyle name="Procent" xfId="2" builtinId="5"/>
    <cellStyle name="Standaard" xfId="0" builtinId="0"/>
    <cellStyle name="Valuta" xfId="3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38D"/>
      <rgbColor rgb="000091DA"/>
      <rgbColor rgb="006D2077"/>
      <rgbColor rgb="00005EB8"/>
      <rgbColor rgb="0000A3A1"/>
      <rgbColor rgb="00EAAA00"/>
      <rgbColor rgb="0043B02A"/>
      <rgbColor rgb="00C6007E"/>
      <rgbColor rgb="0000338D"/>
      <rgbColor rgb="000091DA"/>
      <rgbColor rgb="006D2077"/>
      <rgbColor rgb="00005EB8"/>
      <rgbColor rgb="0000A3A1"/>
      <rgbColor rgb="00EAAA00"/>
      <rgbColor rgb="0043B02A"/>
      <rgbColor rgb="00C6007E"/>
      <rgbColor rgb="00753F19"/>
      <rgbColor rgb="009B642E"/>
      <rgbColor rgb="009D9375"/>
      <rgbColor rgb="00E3BC9F"/>
      <rgbColor rgb="00E36877"/>
      <rgbColor rgb="00FF99CC"/>
      <rgbColor rgb="00CC99FF"/>
      <rgbColor rgb="00FFCC99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  <mruColors>
      <color rgb="FF1542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1867962</xdr:colOff>
      <xdr:row>6</xdr:row>
      <xdr:rowOff>114947</xdr:rowOff>
    </xdr:to>
    <xdr:pic>
      <xdr:nvPicPr>
        <xdr:cNvPr id="2" name="Picture 1" descr="Bestand:Ministerie van Infrastructuur en Waterstaat Logo.png - Wikipedi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87501" cy="9721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1989441</xdr:colOff>
      <xdr:row>6</xdr:row>
      <xdr:rowOff>114947</xdr:rowOff>
    </xdr:to>
    <xdr:pic>
      <xdr:nvPicPr>
        <xdr:cNvPr id="2" name="Picture 1" descr="Bestand:Ministerie van Infrastructuur en Waterstaat Logo.png - Wikipedia">
          <a:extLst>
            <a:ext uri="{FF2B5EF4-FFF2-40B4-BE49-F238E27FC236}">
              <a16:creationId xmlns:a16="http://schemas.microsoft.com/office/drawing/2014/main" id="{030AC602-1E33-E849-9EF4-DA12F79C8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3701" cy="953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1934223</xdr:colOff>
      <xdr:row>6</xdr:row>
      <xdr:rowOff>114947</xdr:rowOff>
    </xdr:to>
    <xdr:pic>
      <xdr:nvPicPr>
        <xdr:cNvPr id="2" name="Picture 1" descr="Bestand:Ministerie van Infrastructuur en Waterstaat Logo.png - Wikipedia">
          <a:extLst>
            <a:ext uri="{FF2B5EF4-FFF2-40B4-BE49-F238E27FC236}">
              <a16:creationId xmlns:a16="http://schemas.microsoft.com/office/drawing/2014/main" id="{CF1F8EAE-C153-F342-AB7C-E49AB7360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3701" cy="953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4:AJ62"/>
  <sheetViews>
    <sheetView showGridLines="0" tabSelected="1" topLeftCell="A9" zoomScale="115" zoomScaleNormal="115" workbookViewId="0">
      <pane ySplit="1" topLeftCell="A10" activePane="bottomLeft" state="frozen"/>
      <selection activeCell="N32" sqref="N32"/>
      <selection pane="bottomLeft" activeCell="G49" sqref="G49"/>
    </sheetView>
  </sheetViews>
  <sheetFormatPr baseColWidth="10" defaultColWidth="9.1640625" defaultRowHeight="11" x14ac:dyDescent="0.15"/>
  <cols>
    <col min="1" max="2" width="2.5" style="6" customWidth="1"/>
    <col min="3" max="3" width="4" style="6" customWidth="1"/>
    <col min="4" max="4" width="74.6640625" style="6" customWidth="1"/>
    <col min="5" max="5" width="9.1640625" style="6"/>
    <col min="6" max="6" width="12.33203125" style="6" bestFit="1" customWidth="1"/>
    <col min="7" max="7" width="15.33203125" style="6" bestFit="1" customWidth="1"/>
    <col min="8" max="8" width="9.1640625" style="6"/>
    <col min="9" max="10" width="2.5" style="6" customWidth="1"/>
    <col min="11" max="11" width="4" style="6" customWidth="1"/>
    <col min="12" max="12" width="74.5" style="6" customWidth="1"/>
    <col min="13" max="13" width="12.33203125" style="6" bestFit="1" customWidth="1"/>
    <col min="14" max="35" width="9.1640625" style="6"/>
    <col min="36" max="36" width="9.83203125" style="6" bestFit="1" customWidth="1"/>
    <col min="37" max="16384" width="9.1640625" style="6"/>
  </cols>
  <sheetData>
    <row r="4" spans="1:36" x14ac:dyDescent="0.15">
      <c r="E4" s="7"/>
    </row>
    <row r="10" spans="1:36" x14ac:dyDescent="0.15">
      <c r="A10" s="8" t="s">
        <v>81</v>
      </c>
      <c r="B10" s="8"/>
      <c r="C10" s="8"/>
      <c r="D10" s="8"/>
    </row>
    <row r="12" spans="1:36" x14ac:dyDescent="0.15">
      <c r="D12" s="9" t="s">
        <v>44</v>
      </c>
      <c r="AI12" s="10">
        <v>2023</v>
      </c>
      <c r="AJ12" s="11">
        <v>0</v>
      </c>
    </row>
    <row r="13" spans="1:36" x14ac:dyDescent="0.15">
      <c r="AI13" s="10">
        <v>2022</v>
      </c>
      <c r="AJ13" s="12">
        <v>3.5000000000000003E-2</v>
      </c>
    </row>
    <row r="14" spans="1:36" x14ac:dyDescent="0.15">
      <c r="C14" s="13" t="s">
        <v>15</v>
      </c>
      <c r="D14" s="6" t="s">
        <v>29</v>
      </c>
      <c r="E14" s="1"/>
      <c r="AI14" s="10">
        <v>2021</v>
      </c>
      <c r="AJ14" s="11">
        <v>0.11718617033623957</v>
      </c>
    </row>
    <row r="15" spans="1:36" x14ac:dyDescent="0.15">
      <c r="A15" s="7"/>
      <c r="B15" s="7"/>
      <c r="C15" s="13" t="s">
        <v>16</v>
      </c>
      <c r="D15" s="6" t="s">
        <v>30</v>
      </c>
      <c r="E15" s="1"/>
      <c r="AI15" s="10">
        <v>2020</v>
      </c>
      <c r="AJ15" s="11">
        <v>0.13218101328562204</v>
      </c>
    </row>
    <row r="16" spans="1:36" x14ac:dyDescent="0.15">
      <c r="D16" s="6" t="s">
        <v>31</v>
      </c>
      <c r="E16" s="1"/>
      <c r="AI16" s="10">
        <v>2019</v>
      </c>
      <c r="AJ16" s="11">
        <v>0.16492368762375165</v>
      </c>
    </row>
    <row r="17" spans="1:36" x14ac:dyDescent="0.15">
      <c r="D17" s="6" t="s">
        <v>8</v>
      </c>
      <c r="E17" s="3"/>
    </row>
    <row r="18" spans="1:36" x14ac:dyDescent="0.15">
      <c r="D18" s="6" t="s">
        <v>32</v>
      </c>
      <c r="E18" s="2">
        <v>0.93</v>
      </c>
    </row>
    <row r="19" spans="1:36" x14ac:dyDescent="0.15">
      <c r="E19" s="18"/>
      <c r="AF19" s="39">
        <v>0.93</v>
      </c>
    </row>
    <row r="20" spans="1:36" x14ac:dyDescent="0.15">
      <c r="A20" s="7" t="s">
        <v>0</v>
      </c>
      <c r="AF20" s="39">
        <v>0.95</v>
      </c>
    </row>
    <row r="21" spans="1:36" x14ac:dyDescent="0.15">
      <c r="D21" s="6" t="s">
        <v>7</v>
      </c>
      <c r="E21" s="19">
        <v>44927</v>
      </c>
      <c r="F21" s="6" t="s">
        <v>4</v>
      </c>
      <c r="AJ21" s="40"/>
    </row>
    <row r="22" spans="1:36" hidden="1" x14ac:dyDescent="0.15">
      <c r="D22" s="6" t="s">
        <v>5</v>
      </c>
      <c r="E22" s="20">
        <v>12</v>
      </c>
      <c r="F22" s="6" t="s">
        <v>6</v>
      </c>
      <c r="AJ22" s="40"/>
    </row>
    <row r="23" spans="1:36" x14ac:dyDescent="0.15">
      <c r="D23" s="6" t="s">
        <v>24</v>
      </c>
      <c r="E23" s="19">
        <v>45291</v>
      </c>
      <c r="F23" s="6" t="s">
        <v>4</v>
      </c>
      <c r="AJ23" s="40"/>
    </row>
    <row r="25" spans="1:36" x14ac:dyDescent="0.15">
      <c r="D25" s="6" t="s">
        <v>1</v>
      </c>
      <c r="E25" s="6" t="s">
        <v>3</v>
      </c>
    </row>
    <row r="26" spans="1:36" x14ac:dyDescent="0.15">
      <c r="D26" s="6" t="s">
        <v>2</v>
      </c>
      <c r="E26" s="21">
        <v>1</v>
      </c>
    </row>
    <row r="27" spans="1:36" x14ac:dyDescent="0.15">
      <c r="D27" s="6" t="s">
        <v>34</v>
      </c>
      <c r="E27" s="4">
        <v>2019</v>
      </c>
    </row>
    <row r="28" spans="1:36" x14ac:dyDescent="0.15">
      <c r="D28" s="6" t="s">
        <v>33</v>
      </c>
      <c r="E28" s="23">
        <f>VLOOKUP(E27,AI12:AJ16,2,FALSE)</f>
        <v>0.16492368762375165</v>
      </c>
    </row>
    <row r="30" spans="1:36" x14ac:dyDescent="0.15">
      <c r="A30" s="7" t="s">
        <v>27</v>
      </c>
    </row>
    <row r="32" spans="1:36" x14ac:dyDescent="0.15">
      <c r="B32" s="41" t="s">
        <v>35</v>
      </c>
      <c r="C32" s="42"/>
      <c r="D32" s="42"/>
      <c r="E32" s="42"/>
      <c r="F32" s="42"/>
      <c r="G32" s="43" t="s">
        <v>47</v>
      </c>
      <c r="H32" s="44" t="s">
        <v>48</v>
      </c>
      <c r="J32" s="41" t="s">
        <v>59</v>
      </c>
      <c r="K32" s="42"/>
      <c r="L32" s="42"/>
      <c r="M32" s="43" t="s">
        <v>48</v>
      </c>
      <c r="N32" s="44"/>
    </row>
    <row r="33" spans="2:14" x14ac:dyDescent="0.15">
      <c r="B33" s="45"/>
      <c r="C33" s="24" t="s">
        <v>9</v>
      </c>
      <c r="H33" s="46"/>
      <c r="J33" s="45"/>
      <c r="K33" s="24" t="s">
        <v>9</v>
      </c>
      <c r="N33" s="46"/>
    </row>
    <row r="34" spans="2:14" x14ac:dyDescent="0.15">
      <c r="B34" s="45"/>
      <c r="C34" s="6" t="s">
        <v>77</v>
      </c>
      <c r="D34" s="6" t="s">
        <v>10</v>
      </c>
      <c r="G34" s="5"/>
      <c r="H34" s="46"/>
      <c r="J34" s="45"/>
      <c r="K34" s="6" t="s">
        <v>74</v>
      </c>
      <c r="L34" s="6" t="s">
        <v>10</v>
      </c>
      <c r="M34" s="5"/>
      <c r="N34" s="46"/>
    </row>
    <row r="35" spans="2:14" x14ac:dyDescent="0.15">
      <c r="B35" s="45"/>
      <c r="C35" s="6" t="s">
        <v>78</v>
      </c>
      <c r="D35" s="6" t="s">
        <v>45</v>
      </c>
      <c r="G35" s="5"/>
      <c r="H35" s="46"/>
      <c r="J35" s="45"/>
      <c r="K35" s="6" t="s">
        <v>75</v>
      </c>
      <c r="L35" s="6" t="s">
        <v>45</v>
      </c>
      <c r="M35" s="5"/>
      <c r="N35" s="46"/>
    </row>
    <row r="36" spans="2:14" x14ac:dyDescent="0.15">
      <c r="B36" s="45"/>
      <c r="C36" s="6" t="s">
        <v>79</v>
      </c>
      <c r="D36" s="6" t="s">
        <v>13</v>
      </c>
      <c r="G36" s="5"/>
      <c r="H36" s="46"/>
      <c r="J36" s="45"/>
      <c r="K36" s="6" t="s">
        <v>76</v>
      </c>
      <c r="L36" s="6" t="s">
        <v>13</v>
      </c>
      <c r="M36" s="5"/>
      <c r="N36" s="46"/>
    </row>
    <row r="37" spans="2:14" x14ac:dyDescent="0.15">
      <c r="B37" s="45"/>
      <c r="C37" s="13" t="s">
        <v>60</v>
      </c>
      <c r="D37" s="24" t="str">
        <f>"Totaal "&amp; C33</f>
        <v>Totaal Subsidies conform contract</v>
      </c>
      <c r="E37" s="24"/>
      <c r="F37" s="24"/>
      <c r="G37" s="27">
        <f>SUM(G34:G36)</f>
        <v>0</v>
      </c>
      <c r="H37" s="46"/>
      <c r="J37" s="45"/>
      <c r="K37" s="13" t="s">
        <v>17</v>
      </c>
      <c r="L37" s="24" t="str">
        <f>"Totaal "&amp; K33</f>
        <v>Totaal Subsidies conform contract</v>
      </c>
      <c r="M37" s="27">
        <f>SUM(M34:M36)</f>
        <v>0</v>
      </c>
      <c r="N37" s="46"/>
    </row>
    <row r="38" spans="2:14" x14ac:dyDescent="0.15">
      <c r="B38" s="45"/>
      <c r="C38" s="13"/>
      <c r="G38" s="27"/>
      <c r="H38" s="46"/>
      <c r="J38" s="45"/>
      <c r="K38" s="13"/>
      <c r="M38" s="27"/>
      <c r="N38" s="46"/>
    </row>
    <row r="39" spans="2:14" x14ac:dyDescent="0.15">
      <c r="B39" s="45"/>
      <c r="C39" s="13" t="s">
        <v>61</v>
      </c>
      <c r="D39" s="6" t="s">
        <v>11</v>
      </c>
      <c r="G39" s="5"/>
      <c r="H39" s="46"/>
      <c r="J39" s="45"/>
      <c r="K39" s="13" t="s">
        <v>18</v>
      </c>
      <c r="L39" s="6" t="s">
        <v>11</v>
      </c>
      <c r="M39" s="5"/>
      <c r="N39" s="46"/>
    </row>
    <row r="40" spans="2:14" x14ac:dyDescent="0.15">
      <c r="B40" s="45"/>
      <c r="C40" s="13" t="s">
        <v>62</v>
      </c>
      <c r="D40" s="6" t="s">
        <v>14</v>
      </c>
      <c r="G40" s="5"/>
      <c r="H40" s="46"/>
      <c r="J40" s="45"/>
      <c r="K40" s="13" t="s">
        <v>19</v>
      </c>
      <c r="L40" s="6" t="s">
        <v>14</v>
      </c>
      <c r="M40" s="5"/>
      <c r="N40" s="46"/>
    </row>
    <row r="41" spans="2:14" x14ac:dyDescent="0.15">
      <c r="B41" s="45"/>
      <c r="C41" s="13"/>
      <c r="G41" s="47"/>
      <c r="H41" s="46"/>
      <c r="J41" s="45"/>
      <c r="K41" s="13"/>
      <c r="L41" s="6" t="s">
        <v>63</v>
      </c>
      <c r="M41" s="48" t="str">
        <f>IF(OR(G40=0,G40=""),"",M40/((1+E28)*G40))</f>
        <v/>
      </c>
      <c r="N41" s="46"/>
    </row>
    <row r="42" spans="2:14" x14ac:dyDescent="0.15">
      <c r="B42" s="45"/>
      <c r="C42" s="13"/>
      <c r="H42" s="46"/>
      <c r="J42" s="45"/>
      <c r="K42" s="13"/>
      <c r="N42" s="46"/>
    </row>
    <row r="43" spans="2:14" x14ac:dyDescent="0.15">
      <c r="B43" s="45"/>
      <c r="C43" s="13" t="s">
        <v>64</v>
      </c>
      <c r="D43" s="6" t="s">
        <v>23</v>
      </c>
      <c r="G43" s="5"/>
      <c r="H43" s="46"/>
      <c r="J43" s="45"/>
      <c r="K43" s="6" t="s">
        <v>67</v>
      </c>
      <c r="L43" s="6" t="s">
        <v>72</v>
      </c>
      <c r="M43" s="5"/>
      <c r="N43" s="46"/>
    </row>
    <row r="44" spans="2:14" x14ac:dyDescent="0.15">
      <c r="B44" s="45"/>
      <c r="C44" s="13"/>
      <c r="G44" s="49"/>
      <c r="H44" s="46"/>
      <c r="J44" s="45"/>
      <c r="K44" s="6" t="s">
        <v>68</v>
      </c>
      <c r="L44" s="6" t="s">
        <v>71</v>
      </c>
      <c r="M44" s="5"/>
      <c r="N44" s="46"/>
    </row>
    <row r="45" spans="2:14" x14ac:dyDescent="0.15">
      <c r="B45" s="45"/>
      <c r="C45" s="13"/>
      <c r="G45" s="49"/>
      <c r="H45" s="46"/>
      <c r="J45" s="45"/>
      <c r="K45" s="13" t="s">
        <v>69</v>
      </c>
      <c r="L45" s="24" t="s">
        <v>70</v>
      </c>
      <c r="M45" s="27">
        <f>SUM(M43:M44)</f>
        <v>0</v>
      </c>
      <c r="N45" s="46"/>
    </row>
    <row r="46" spans="2:14" x14ac:dyDescent="0.15">
      <c r="B46" s="50" t="s">
        <v>65</v>
      </c>
      <c r="C46" s="30"/>
      <c r="D46" s="14"/>
      <c r="E46" s="14"/>
      <c r="F46" s="14"/>
      <c r="G46" s="51">
        <f>SUM(G34,G36,G39:G40,G43)</f>
        <v>0</v>
      </c>
      <c r="H46" s="52">
        <f>(1+E28)*G46</f>
        <v>0</v>
      </c>
      <c r="J46" s="50" t="s">
        <v>73</v>
      </c>
      <c r="K46" s="30"/>
      <c r="L46" s="14"/>
      <c r="M46" s="51">
        <f>SUM(M34,M36,M39:M40,M43)</f>
        <v>0</v>
      </c>
      <c r="N46" s="53"/>
    </row>
    <row r="47" spans="2:14" x14ac:dyDescent="0.15">
      <c r="B47" s="50" t="s">
        <v>51</v>
      </c>
      <c r="C47" s="14"/>
      <c r="D47" s="14"/>
      <c r="E47" s="14"/>
      <c r="F47" s="14"/>
      <c r="G47" s="54">
        <f>SUM(G37,G39:G40,G43)</f>
        <v>0</v>
      </c>
      <c r="H47" s="55">
        <f>(1+E28)*G47</f>
        <v>0</v>
      </c>
      <c r="J47" s="50" t="s">
        <v>87</v>
      </c>
      <c r="K47" s="14"/>
      <c r="L47" s="14"/>
      <c r="M47" s="54">
        <f>SUM(M37,M39:M40,M45)</f>
        <v>0</v>
      </c>
      <c r="N47" s="56"/>
    </row>
    <row r="48" spans="2:14" x14ac:dyDescent="0.15">
      <c r="B48" s="57"/>
      <c r="C48" s="33"/>
      <c r="D48" s="34"/>
      <c r="E48" s="34"/>
      <c r="F48" s="34"/>
      <c r="G48" s="35"/>
      <c r="H48" s="46"/>
      <c r="J48" s="57"/>
      <c r="K48" s="33"/>
      <c r="L48" s="34"/>
      <c r="M48" s="35"/>
      <c r="N48" s="58"/>
    </row>
    <row r="49" spans="1:14" x14ac:dyDescent="0.15">
      <c r="B49" s="59" t="s">
        <v>28</v>
      </c>
      <c r="C49" s="7" t="s">
        <v>52</v>
      </c>
      <c r="G49" s="72"/>
      <c r="H49" s="52">
        <f>(1+E28)*G49</f>
        <v>0</v>
      </c>
      <c r="J49" s="59" t="s">
        <v>28</v>
      </c>
      <c r="K49" s="7" t="s">
        <v>66</v>
      </c>
      <c r="M49" s="72"/>
      <c r="N49" s="53"/>
    </row>
    <row r="50" spans="1:14" x14ac:dyDescent="0.15">
      <c r="B50" s="45"/>
      <c r="C50" s="7"/>
      <c r="G50" s="60"/>
      <c r="H50" s="46"/>
      <c r="J50" s="45"/>
      <c r="K50" s="7"/>
      <c r="M50" s="60"/>
      <c r="N50" s="46"/>
    </row>
    <row r="51" spans="1:14" x14ac:dyDescent="0.15">
      <c r="B51" s="61"/>
      <c r="C51" s="62"/>
      <c r="D51" s="63"/>
      <c r="E51" s="63"/>
      <c r="F51" s="63"/>
      <c r="G51" s="63"/>
      <c r="H51" s="64"/>
      <c r="J51" s="61" t="s">
        <v>42</v>
      </c>
      <c r="K51" s="62"/>
      <c r="L51" s="63"/>
      <c r="M51" s="65">
        <f>SUM(M47,M49)</f>
        <v>0</v>
      </c>
      <c r="N51" s="66">
        <f>IF(M49=0,0,M51/-M49)</f>
        <v>0</v>
      </c>
    </row>
    <row r="53" spans="1:14" x14ac:dyDescent="0.15">
      <c r="A53" s="7" t="s">
        <v>36</v>
      </c>
    </row>
    <row r="55" spans="1:14" x14ac:dyDescent="0.15">
      <c r="D55" s="6" t="s">
        <v>54</v>
      </c>
      <c r="E55" s="36">
        <f>MAX(0,(-M49-M46))</f>
        <v>0</v>
      </c>
    </row>
    <row r="56" spans="1:14" x14ac:dyDescent="0.15">
      <c r="D56" s="6" t="s">
        <v>40</v>
      </c>
      <c r="E56" s="36">
        <f>'TVOV 2023 max'!E59</f>
        <v>0</v>
      </c>
    </row>
    <row r="57" spans="1:14" x14ac:dyDescent="0.15">
      <c r="D57" s="6" t="s">
        <v>57</v>
      </c>
      <c r="E57" s="36">
        <f>MIN(E55,E56)</f>
        <v>0</v>
      </c>
    </row>
    <row r="58" spans="1:14" x14ac:dyDescent="0.15">
      <c r="D58" s="6" t="s">
        <v>80</v>
      </c>
      <c r="E58" s="36">
        <f>M51+E57</f>
        <v>0</v>
      </c>
      <c r="F58" s="38">
        <f>IF(M49=0,0,E58/-M49)</f>
        <v>0</v>
      </c>
    </row>
    <row r="59" spans="1:14" x14ac:dyDescent="0.15">
      <c r="D59" s="6" t="s">
        <v>56</v>
      </c>
      <c r="E59" s="36">
        <f>IF(E58&gt;0,E58,0)</f>
        <v>0</v>
      </c>
      <c r="F59" s="38"/>
    </row>
    <row r="60" spans="1:14" x14ac:dyDescent="0.15">
      <c r="E60" s="36"/>
      <c r="F60" s="38"/>
    </row>
    <row r="61" spans="1:14" x14ac:dyDescent="0.15">
      <c r="A61" s="7"/>
      <c r="B61" s="7"/>
      <c r="C61" s="67" t="s">
        <v>22</v>
      </c>
      <c r="D61" s="30" t="s">
        <v>39</v>
      </c>
      <c r="E61" s="37">
        <f>MAX(0,(E57-E59))</f>
        <v>0</v>
      </c>
      <c r="F61" s="7"/>
    </row>
    <row r="62" spans="1:14" x14ac:dyDescent="0.15">
      <c r="D62" s="6" t="s">
        <v>55</v>
      </c>
      <c r="E62" s="36">
        <f>M51+E61</f>
        <v>0</v>
      </c>
      <c r="F62" s="38">
        <f>IF(M49=0,0,E62/-M49)</f>
        <v>0</v>
      </c>
    </row>
  </sheetData>
  <sheetProtection algorithmName="SHA-512" hashValue="W3GNBD+nybCBELyHdOZssVJAKc7QfyieEGMswSuaQ9i6Y8e4RV064FP6BVjuz9cTvfwvw8YZvEodIgWdyVTGLg==" saltValue="QyL4dBC0xA9snSMPMlkFiA==" spinCount="100000" sheet="1" objects="1" scenarios="1"/>
  <dataValidations count="5">
    <dataValidation type="list" allowBlank="1" showInputMessage="1" showErrorMessage="1" promptTitle="Referentiejaar" prompt="Maak keuze uit lijst" sqref="E27" xr:uid="{0C21CCDD-C525-CD47-94A3-1E3956A98F08}">
      <formula1>$AI$12:$AI$16</formula1>
    </dataValidation>
    <dataValidation allowBlank="1" showInputMessage="1" showErrorMessage="1" errorTitle="Herstelpercentage" error="Minimaal 82, maximaal 100" promptTitle="Herstelpercentage" prompt="Minimaal 82, maximaal 100. Minder dan 82 levert de maximale subsidie op (gebaseerd op 82% herstel)." sqref="M41" xr:uid="{49A9AAC2-E2A6-494A-BF5E-80AD953AE14E}"/>
    <dataValidation allowBlank="1" showInputMessage="1" showErrorMessage="1" promptTitle="Kosten referentiejaar" prompt="Negatieve waarde invoeren" sqref="G49" xr:uid="{9FEEE446-E220-1342-8CB6-9BFB846E5562}"/>
    <dataValidation type="list" allowBlank="1" showInputMessage="1" showErrorMessage="1" promptTitle="Kostendekkingsgraad TVOV" prompt="Maak keuze uit lijst" sqref="E18" xr:uid="{DE218D2E-8435-A44C-93F6-ADB64EAE3437}">
      <formula1>$AF$19:$AF$20</formula1>
    </dataValidation>
    <dataValidation allowBlank="1" showInputMessage="1" showErrorMessage="1" promptTitle="Verwachte kosten 2023" prompt="Negatieve waarde invoeren" sqref="M49" xr:uid="{A3845E76-6BEB-F84D-8807-4C4E59C046E2}"/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DF1C7-6925-5540-8BEA-C525C3A17F9B}">
  <dimension ref="A4:AQ60"/>
  <sheetViews>
    <sheetView showGridLines="0" topLeftCell="A9" zoomScale="115" zoomScaleNormal="115" workbookViewId="0">
      <pane ySplit="1" topLeftCell="A10" activePane="bottomLeft" state="frozen"/>
      <selection activeCell="A9" sqref="A9"/>
      <selection pane="bottomLeft" activeCell="F26" sqref="F26"/>
    </sheetView>
  </sheetViews>
  <sheetFormatPr baseColWidth="10" defaultColWidth="9.1640625" defaultRowHeight="11" x14ac:dyDescent="0.15"/>
  <cols>
    <col min="1" max="3" width="2.5" style="6" customWidth="1"/>
    <col min="4" max="4" width="74.5" style="6" customWidth="1"/>
    <col min="5" max="7" width="9.1640625" style="6"/>
    <col min="8" max="8" width="2.6640625" style="6" customWidth="1"/>
    <col min="9" max="9" width="15.33203125" style="6" bestFit="1" customWidth="1"/>
    <col min="10" max="42" width="9.1640625" style="6"/>
    <col min="43" max="43" width="9.83203125" style="6" bestFit="1" customWidth="1"/>
    <col min="44" max="16384" width="9.1640625" style="6"/>
  </cols>
  <sheetData>
    <row r="4" spans="1:43" x14ac:dyDescent="0.15">
      <c r="E4" s="7"/>
    </row>
    <row r="6" spans="1:43" x14ac:dyDescent="0.15">
      <c r="A6" s="6" t="s">
        <v>25</v>
      </c>
    </row>
    <row r="10" spans="1:43" x14ac:dyDescent="0.15">
      <c r="A10" s="8" t="str">
        <f>'Toe te kennen TVOV 2023'!A10</f>
        <v>Template aanvraag Transitievergoeding OV 2023</v>
      </c>
      <c r="B10" s="8"/>
      <c r="C10" s="8"/>
      <c r="D10" s="8"/>
    </row>
    <row r="12" spans="1:43" x14ac:dyDescent="0.15">
      <c r="D12" s="9" t="s">
        <v>26</v>
      </c>
      <c r="AP12" s="10">
        <v>2023</v>
      </c>
      <c r="AQ12" s="11">
        <v>0</v>
      </c>
    </row>
    <row r="13" spans="1:43" x14ac:dyDescent="0.15">
      <c r="AP13" s="10">
        <v>2022</v>
      </c>
      <c r="AQ13" s="12">
        <v>3.5000000000000003E-2</v>
      </c>
    </row>
    <row r="14" spans="1:43" x14ac:dyDescent="0.15">
      <c r="C14" s="13" t="s">
        <v>15</v>
      </c>
      <c r="D14" s="6" t="s">
        <v>29</v>
      </c>
      <c r="E14" s="14" t="str">
        <f>IF('Toe te kennen TVOV 2023'!E14="","",'Toe te kennen TVOV 2023'!E14)</f>
        <v/>
      </c>
      <c r="AP14" s="10">
        <v>2021</v>
      </c>
      <c r="AQ14" s="11">
        <v>0.11718617033623957</v>
      </c>
    </row>
    <row r="15" spans="1:43" x14ac:dyDescent="0.15">
      <c r="A15" s="7"/>
      <c r="B15" s="7"/>
      <c r="C15" s="13" t="s">
        <v>16</v>
      </c>
      <c r="D15" s="6" t="s">
        <v>30</v>
      </c>
      <c r="E15" s="14" t="str">
        <f>IF('Toe te kennen TVOV 2023'!E15="","",'Toe te kennen TVOV 2023'!E15)</f>
        <v/>
      </c>
      <c r="AP15" s="10">
        <v>2020</v>
      </c>
      <c r="AQ15" s="11">
        <v>0.13218101328562204</v>
      </c>
    </row>
    <row r="16" spans="1:43" x14ac:dyDescent="0.15">
      <c r="D16" s="6" t="s">
        <v>31</v>
      </c>
      <c r="E16" s="14" t="str">
        <f>IF('Toe te kennen TVOV 2023'!E16="","",'Toe te kennen TVOV 2023'!E16)</f>
        <v/>
      </c>
      <c r="AP16" s="10">
        <v>2019</v>
      </c>
      <c r="AQ16" s="11">
        <v>0.16492368762375165</v>
      </c>
    </row>
    <row r="17" spans="1:43" x14ac:dyDescent="0.15">
      <c r="D17" s="6" t="s">
        <v>8</v>
      </c>
      <c r="E17" s="15" t="str">
        <f>IF('Toe te kennen TVOV 2023'!E17="","",'Toe te kennen TVOV 2023'!E17)</f>
        <v/>
      </c>
      <c r="AQ17" s="16"/>
    </row>
    <row r="18" spans="1:43" x14ac:dyDescent="0.15">
      <c r="D18" s="6" t="s">
        <v>32</v>
      </c>
      <c r="E18" s="17">
        <f>IF('Toe te kennen TVOV 2023'!E18="","",'Toe te kennen TVOV 2023'!E18)</f>
        <v>0.93</v>
      </c>
    </row>
    <row r="19" spans="1:43" x14ac:dyDescent="0.15">
      <c r="E19" s="18"/>
    </row>
    <row r="20" spans="1:43" x14ac:dyDescent="0.15">
      <c r="A20" s="7" t="s">
        <v>0</v>
      </c>
    </row>
    <row r="21" spans="1:43" x14ac:dyDescent="0.15">
      <c r="D21" s="6" t="s">
        <v>7</v>
      </c>
      <c r="E21" s="19">
        <v>44927</v>
      </c>
      <c r="F21" s="6" t="s">
        <v>4</v>
      </c>
    </row>
    <row r="22" spans="1:43" hidden="1" x14ac:dyDescent="0.15">
      <c r="D22" s="6" t="s">
        <v>5</v>
      </c>
      <c r="E22" s="20">
        <v>12</v>
      </c>
      <c r="F22" s="6" t="s">
        <v>6</v>
      </c>
    </row>
    <row r="23" spans="1:43" x14ac:dyDescent="0.15">
      <c r="D23" s="6" t="s">
        <v>24</v>
      </c>
      <c r="E23" s="19">
        <v>45291</v>
      </c>
      <c r="F23" s="6" t="s">
        <v>4</v>
      </c>
    </row>
    <row r="25" spans="1:43" x14ac:dyDescent="0.15">
      <c r="D25" s="6" t="s">
        <v>1</v>
      </c>
      <c r="E25" s="6" t="s">
        <v>3</v>
      </c>
    </row>
    <row r="26" spans="1:43" x14ac:dyDescent="0.15">
      <c r="D26" s="6" t="s">
        <v>2</v>
      </c>
      <c r="E26" s="21">
        <v>1</v>
      </c>
    </row>
    <row r="27" spans="1:43" x14ac:dyDescent="0.15">
      <c r="D27" s="6" t="s">
        <v>34</v>
      </c>
      <c r="E27" s="22">
        <f>IF('Toe te kennen TVOV 2023'!E27="","",'Toe te kennen TVOV 2023'!E27)</f>
        <v>2019</v>
      </c>
    </row>
    <row r="28" spans="1:43" x14ac:dyDescent="0.15">
      <c r="D28" s="6" t="s">
        <v>33</v>
      </c>
      <c r="E28" s="23">
        <f>IF('Toe te kennen TVOV 2023'!E28="","",'Toe te kennen TVOV 2023'!E28)</f>
        <v>0.16492368762375165</v>
      </c>
    </row>
    <row r="30" spans="1:43" x14ac:dyDescent="0.15">
      <c r="A30" s="7" t="s">
        <v>27</v>
      </c>
    </row>
    <row r="32" spans="1:43" x14ac:dyDescent="0.15">
      <c r="B32" s="7" t="s">
        <v>35</v>
      </c>
      <c r="I32" s="7" t="s">
        <v>47</v>
      </c>
      <c r="J32" s="7" t="s">
        <v>48</v>
      </c>
    </row>
    <row r="33" spans="2:11" x14ac:dyDescent="0.15">
      <c r="C33" s="24" t="s">
        <v>9</v>
      </c>
    </row>
    <row r="34" spans="2:11" x14ac:dyDescent="0.15">
      <c r="D34" s="6" t="s">
        <v>10</v>
      </c>
      <c r="I34" s="25">
        <f>'Toe te kennen TVOV 2023'!G34</f>
        <v>0</v>
      </c>
    </row>
    <row r="35" spans="2:11" x14ac:dyDescent="0.15">
      <c r="D35" s="6" t="s">
        <v>45</v>
      </c>
      <c r="I35" s="25">
        <f>'Toe te kennen TVOV 2023'!G35</f>
        <v>0</v>
      </c>
    </row>
    <row r="36" spans="2:11" x14ac:dyDescent="0.15">
      <c r="D36" s="6" t="s">
        <v>13</v>
      </c>
      <c r="I36" s="26">
        <f>'Toe te kennen TVOV 2023'!G36</f>
        <v>0</v>
      </c>
    </row>
    <row r="37" spans="2:11" x14ac:dyDescent="0.15">
      <c r="C37" s="13" t="s">
        <v>17</v>
      </c>
      <c r="D37" s="24" t="str">
        <f>"Totaal "&amp; C33</f>
        <v>Totaal Subsidies conform contract</v>
      </c>
      <c r="E37" s="24"/>
      <c r="F37" s="24"/>
      <c r="G37" s="24"/>
      <c r="H37" s="24"/>
      <c r="I37" s="27">
        <f>SUM(I34:I36)</f>
        <v>0</v>
      </c>
    </row>
    <row r="38" spans="2:11" x14ac:dyDescent="0.15">
      <c r="C38" s="13"/>
      <c r="I38" s="27"/>
    </row>
    <row r="39" spans="2:11" x14ac:dyDescent="0.15">
      <c r="C39" s="13" t="s">
        <v>18</v>
      </c>
      <c r="D39" s="6" t="s">
        <v>11</v>
      </c>
      <c r="I39" s="26">
        <f>'Toe te kennen TVOV 2023'!G39</f>
        <v>0</v>
      </c>
    </row>
    <row r="40" spans="2:11" x14ac:dyDescent="0.15">
      <c r="C40" s="13" t="s">
        <v>19</v>
      </c>
      <c r="D40" s="6" t="s">
        <v>14</v>
      </c>
      <c r="I40" s="26">
        <f>'Toe te kennen TVOV 2023'!G40</f>
        <v>0</v>
      </c>
    </row>
    <row r="41" spans="2:11" x14ac:dyDescent="0.15">
      <c r="C41" s="13" t="s">
        <v>38</v>
      </c>
      <c r="D41" s="6" t="s">
        <v>37</v>
      </c>
      <c r="I41" s="28">
        <v>0.82</v>
      </c>
      <c r="K41" s="29"/>
    </row>
    <row r="42" spans="2:11" x14ac:dyDescent="0.15">
      <c r="C42" s="13"/>
    </row>
    <row r="43" spans="2:11" x14ac:dyDescent="0.15">
      <c r="C43" s="13" t="s">
        <v>20</v>
      </c>
      <c r="D43" s="6" t="s">
        <v>23</v>
      </c>
      <c r="I43" s="25">
        <f>'Toe te kennen TVOV 2023'!G43</f>
        <v>0</v>
      </c>
    </row>
    <row r="44" spans="2:11" x14ac:dyDescent="0.15">
      <c r="B44" s="30" t="s">
        <v>49</v>
      </c>
      <c r="C44" s="30"/>
      <c r="D44" s="14"/>
      <c r="E44" s="14"/>
      <c r="F44" s="14"/>
      <c r="G44" s="14"/>
      <c r="H44" s="14"/>
      <c r="I44" s="31">
        <f>SUM(I34,I36,I39,I41*I40,I43)</f>
        <v>0</v>
      </c>
      <c r="J44" s="31">
        <f>(1+E28)*I44</f>
        <v>0</v>
      </c>
    </row>
    <row r="45" spans="2:11" x14ac:dyDescent="0.15">
      <c r="B45" s="14" t="s">
        <v>50</v>
      </c>
      <c r="C45" s="14"/>
      <c r="D45" s="14"/>
      <c r="E45" s="14"/>
      <c r="F45" s="14"/>
      <c r="G45" s="14"/>
      <c r="H45" s="14"/>
      <c r="J45" s="32">
        <f>I41*I40*(1+E28)</f>
        <v>0</v>
      </c>
    </row>
    <row r="46" spans="2:11" x14ac:dyDescent="0.15">
      <c r="B46" s="30" t="s">
        <v>51</v>
      </c>
      <c r="C46" s="14"/>
      <c r="D46" s="14"/>
      <c r="E46" s="14"/>
      <c r="F46" s="14"/>
      <c r="G46" s="14"/>
      <c r="H46" s="14"/>
      <c r="I46" s="32">
        <f>SUM(I37,I39,I41*I40,I43)</f>
        <v>0</v>
      </c>
      <c r="J46" s="32">
        <f>(1+E28)*I46</f>
        <v>0</v>
      </c>
    </row>
    <row r="47" spans="2:11" x14ac:dyDescent="0.15">
      <c r="B47" s="33"/>
      <c r="C47" s="33"/>
      <c r="D47" s="34"/>
      <c r="E47" s="34"/>
      <c r="F47" s="34"/>
      <c r="G47" s="34"/>
      <c r="H47" s="34"/>
      <c r="I47" s="35"/>
    </row>
    <row r="48" spans="2:11" x14ac:dyDescent="0.15">
      <c r="B48" s="13" t="s">
        <v>28</v>
      </c>
      <c r="C48" s="7" t="s">
        <v>52</v>
      </c>
      <c r="I48" s="32">
        <f>'Toe te kennen TVOV 2023'!G49</f>
        <v>0</v>
      </c>
      <c r="J48" s="32">
        <f>(1+E28)*I48</f>
        <v>0</v>
      </c>
    </row>
    <row r="49" spans="1:11" x14ac:dyDescent="0.15">
      <c r="A49" s="13"/>
      <c r="B49" s="13" t="s">
        <v>21</v>
      </c>
      <c r="C49" s="7" t="s">
        <v>53</v>
      </c>
      <c r="J49" s="31">
        <f>95%*J48</f>
        <v>0</v>
      </c>
    </row>
    <row r="50" spans="1:11" x14ac:dyDescent="0.15">
      <c r="C50" s="7"/>
      <c r="I50" s="27"/>
    </row>
    <row r="51" spans="1:11" x14ac:dyDescent="0.15">
      <c r="B51" s="7" t="s">
        <v>42</v>
      </c>
      <c r="C51" s="7"/>
      <c r="J51" s="31">
        <f>SUM(J46,J49)</f>
        <v>0</v>
      </c>
      <c r="K51" s="28">
        <f>IF(J49=0,0,J51/-J49)</f>
        <v>0</v>
      </c>
    </row>
    <row r="53" spans="1:11" x14ac:dyDescent="0.15">
      <c r="A53" s="7" t="s">
        <v>36</v>
      </c>
    </row>
    <row r="55" spans="1:11" x14ac:dyDescent="0.15">
      <c r="D55" s="6" t="s">
        <v>43</v>
      </c>
      <c r="E55" s="36">
        <f>J48</f>
        <v>0</v>
      </c>
      <c r="I55" s="20"/>
    </row>
    <row r="56" spans="1:11" x14ac:dyDescent="0.15">
      <c r="D56" s="6" t="s">
        <v>12</v>
      </c>
      <c r="E56" s="36">
        <f>-E18*E55</f>
        <v>0</v>
      </c>
    </row>
    <row r="57" spans="1:11" x14ac:dyDescent="0.15">
      <c r="D57" s="6" t="s">
        <v>46</v>
      </c>
      <c r="E57" s="36">
        <f>J44</f>
        <v>0</v>
      </c>
    </row>
    <row r="58" spans="1:11" x14ac:dyDescent="0.15">
      <c r="E58" s="36"/>
    </row>
    <row r="59" spans="1:11" x14ac:dyDescent="0.15">
      <c r="A59" s="7"/>
      <c r="B59" s="7"/>
      <c r="C59" s="13" t="s">
        <v>22</v>
      </c>
      <c r="D59" s="30" t="s">
        <v>41</v>
      </c>
      <c r="E59" s="37">
        <f>MAX(0,2/3*(E56-E57))</f>
        <v>0</v>
      </c>
      <c r="F59" s="7"/>
    </row>
    <row r="60" spans="1:11" x14ac:dyDescent="0.15">
      <c r="D60" s="6" t="s">
        <v>55</v>
      </c>
      <c r="E60" s="36">
        <f>J51+E59</f>
        <v>0</v>
      </c>
      <c r="F60" s="38">
        <f>IF(J49=0,0,E60/-J49)</f>
        <v>0</v>
      </c>
    </row>
  </sheetData>
  <sheetProtection algorithmName="SHA-512" hashValue="7RT71i7cDrWm02cy5mZ4gCXlogIuCIDmBGlzXofdllXb88WChYOaQgIM3tWGLxpeFYyrALcLFRmMDqA5tAQLbg==" saltValue="JM+lqumJUYdNnkH64DH1bg==" spinCount="100000" sheet="1" objects="1" scenarios="1"/>
  <pageMargins left="0.7" right="0.7" top="0.75" bottom="0.75" header="0.3" footer="0.3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D5E93-1353-574F-A688-BCC2DAD9BF24}">
  <dimension ref="A4:AQ63"/>
  <sheetViews>
    <sheetView showGridLines="0" topLeftCell="A9" zoomScale="115" zoomScaleNormal="115" workbookViewId="0">
      <pane ySplit="1" topLeftCell="A10" activePane="bottomLeft" state="frozen"/>
      <selection activeCell="N32" sqref="N32"/>
      <selection pane="bottomLeft" activeCell="E51" sqref="E51"/>
    </sheetView>
  </sheetViews>
  <sheetFormatPr baseColWidth="10" defaultColWidth="9.1640625" defaultRowHeight="11" x14ac:dyDescent="0.15"/>
  <cols>
    <col min="1" max="2" width="2.5" style="6" customWidth="1"/>
    <col min="3" max="3" width="3.1640625" style="6" customWidth="1"/>
    <col min="4" max="4" width="88.83203125" style="6" bestFit="1" customWidth="1"/>
    <col min="5" max="5" width="12.1640625" style="6" bestFit="1" customWidth="1"/>
    <col min="6" max="6" width="12.33203125" style="6" bestFit="1" customWidth="1"/>
    <col min="7" max="7" width="9.1640625" style="6"/>
    <col min="8" max="8" width="2.6640625" style="6" customWidth="1"/>
    <col min="9" max="9" width="15.33203125" style="6" bestFit="1" customWidth="1"/>
    <col min="10" max="11" width="12.33203125" style="6" bestFit="1" customWidth="1"/>
    <col min="12" max="42" width="9.1640625" style="6"/>
    <col min="43" max="43" width="9.83203125" style="6" bestFit="1" customWidth="1"/>
    <col min="44" max="16384" width="9.1640625" style="6"/>
  </cols>
  <sheetData>
    <row r="4" spans="1:43" x14ac:dyDescent="0.15">
      <c r="E4" s="7"/>
    </row>
    <row r="6" spans="1:43" x14ac:dyDescent="0.15">
      <c r="A6" s="6" t="s">
        <v>25</v>
      </c>
    </row>
    <row r="10" spans="1:43" x14ac:dyDescent="0.15">
      <c r="A10" s="8" t="str">
        <f>'Toe te kennen TVOV 2023'!A10</f>
        <v>Template aanvraag Transitievergoeding OV 2023</v>
      </c>
      <c r="B10" s="8"/>
      <c r="C10" s="8"/>
      <c r="D10" s="8"/>
    </row>
    <row r="12" spans="1:43" x14ac:dyDescent="0.15">
      <c r="D12" s="9" t="s">
        <v>44</v>
      </c>
      <c r="AP12" s="10">
        <v>2023</v>
      </c>
      <c r="AQ12" s="11">
        <v>0</v>
      </c>
    </row>
    <row r="13" spans="1:43" x14ac:dyDescent="0.15">
      <c r="AP13" s="10">
        <v>2022</v>
      </c>
      <c r="AQ13" s="12">
        <v>3.5000000000000003E-2</v>
      </c>
    </row>
    <row r="14" spans="1:43" x14ac:dyDescent="0.15">
      <c r="C14" s="13" t="s">
        <v>15</v>
      </c>
      <c r="D14" s="6" t="s">
        <v>29</v>
      </c>
      <c r="E14" s="14" t="str">
        <f>IF('Toe te kennen TVOV 2023'!E14="","",'Toe te kennen TVOV 2023'!E14)</f>
        <v/>
      </c>
      <c r="AP14" s="10">
        <v>2021</v>
      </c>
      <c r="AQ14" s="11">
        <v>0.11718617033623957</v>
      </c>
    </row>
    <row r="15" spans="1:43" x14ac:dyDescent="0.15">
      <c r="A15" s="7"/>
      <c r="B15" s="7"/>
      <c r="C15" s="13" t="s">
        <v>16</v>
      </c>
      <c r="D15" s="6" t="s">
        <v>30</v>
      </c>
      <c r="E15" s="14" t="str">
        <f>IF('Toe te kennen TVOV 2023'!E15="","",'Toe te kennen TVOV 2023'!E15)</f>
        <v/>
      </c>
      <c r="AP15" s="10">
        <v>2020</v>
      </c>
      <c r="AQ15" s="11">
        <v>0.13218101328562204</v>
      </c>
    </row>
    <row r="16" spans="1:43" x14ac:dyDescent="0.15">
      <c r="D16" s="6" t="s">
        <v>31</v>
      </c>
      <c r="E16" s="14" t="str">
        <f>IF('Toe te kennen TVOV 2023'!E16="","",'Toe te kennen TVOV 2023'!E16)</f>
        <v/>
      </c>
      <c r="AP16" s="10">
        <v>2019</v>
      </c>
      <c r="AQ16" s="11">
        <v>0.16492368762375165</v>
      </c>
    </row>
    <row r="17" spans="1:43" x14ac:dyDescent="0.15">
      <c r="D17" s="6" t="s">
        <v>8</v>
      </c>
      <c r="E17" s="14" t="str">
        <f>IF('Toe te kennen TVOV 2023'!E17="","",'Toe te kennen TVOV 2023'!E17)</f>
        <v/>
      </c>
    </row>
    <row r="18" spans="1:43" x14ac:dyDescent="0.15">
      <c r="D18" s="6" t="s">
        <v>32</v>
      </c>
      <c r="E18" s="28">
        <f>IF('Toe te kennen TVOV 2023'!E18="","",'Toe te kennen TVOV 2023'!E18)</f>
        <v>0.93</v>
      </c>
    </row>
    <row r="19" spans="1:43" x14ac:dyDescent="0.15">
      <c r="E19" s="18"/>
      <c r="AM19" s="39">
        <v>0.93</v>
      </c>
    </row>
    <row r="20" spans="1:43" x14ac:dyDescent="0.15">
      <c r="A20" s="7" t="s">
        <v>0</v>
      </c>
      <c r="AM20" s="39">
        <v>0.95</v>
      </c>
    </row>
    <row r="21" spans="1:43" x14ac:dyDescent="0.15">
      <c r="D21" s="6" t="s">
        <v>7</v>
      </c>
      <c r="E21" s="19">
        <v>44927</v>
      </c>
      <c r="F21" s="6" t="s">
        <v>4</v>
      </c>
      <c r="AQ21" s="40"/>
    </row>
    <row r="22" spans="1:43" hidden="1" x14ac:dyDescent="0.15">
      <c r="D22" s="6" t="s">
        <v>5</v>
      </c>
      <c r="E22" s="20">
        <v>12</v>
      </c>
      <c r="F22" s="6" t="s">
        <v>6</v>
      </c>
      <c r="AQ22" s="40"/>
    </row>
    <row r="23" spans="1:43" x14ac:dyDescent="0.15">
      <c r="D23" s="6" t="s">
        <v>24</v>
      </c>
      <c r="E23" s="19">
        <v>45291</v>
      </c>
      <c r="F23" s="6" t="s">
        <v>4</v>
      </c>
      <c r="AQ23" s="40"/>
    </row>
    <row r="25" spans="1:43" x14ac:dyDescent="0.15">
      <c r="D25" s="6" t="s">
        <v>1</v>
      </c>
      <c r="E25" s="6" t="s">
        <v>3</v>
      </c>
    </row>
    <row r="26" spans="1:43" x14ac:dyDescent="0.15">
      <c r="D26" s="6" t="s">
        <v>2</v>
      </c>
      <c r="E26" s="21">
        <v>1</v>
      </c>
    </row>
    <row r="27" spans="1:43" x14ac:dyDescent="0.15">
      <c r="D27" s="6" t="s">
        <v>34</v>
      </c>
      <c r="E27" s="68">
        <f>IF('Toe te kennen TVOV 2023'!E27="","",'Toe te kennen TVOV 2023'!E27)</f>
        <v>2019</v>
      </c>
    </row>
    <row r="28" spans="1:43" x14ac:dyDescent="0.15">
      <c r="D28" s="6" t="s">
        <v>33</v>
      </c>
      <c r="E28" s="69">
        <f>IF('Toe te kennen TVOV 2023'!E28="","",'Toe te kennen TVOV 2023'!E28)</f>
        <v>0.16492368762375165</v>
      </c>
    </row>
    <row r="30" spans="1:43" x14ac:dyDescent="0.15">
      <c r="A30" s="7" t="s">
        <v>27</v>
      </c>
    </row>
    <row r="32" spans="1:43" ht="15" x14ac:dyDescent="0.2">
      <c r="B32" s="7" t="s">
        <v>82</v>
      </c>
      <c r="E32" s="7" t="s">
        <v>48</v>
      </c>
      <c r="F32" s="7"/>
      <c r="G32"/>
      <c r="H32"/>
      <c r="I32"/>
      <c r="J32"/>
      <c r="K32"/>
    </row>
    <row r="33" spans="2:11" ht="15" x14ac:dyDescent="0.2">
      <c r="C33" s="24" t="s">
        <v>9</v>
      </c>
      <c r="G33"/>
      <c r="H33"/>
      <c r="I33"/>
      <c r="J33"/>
      <c r="K33"/>
    </row>
    <row r="34" spans="2:11" ht="15" x14ac:dyDescent="0.2">
      <c r="C34" s="6" t="s">
        <v>74</v>
      </c>
      <c r="D34" s="6" t="s">
        <v>10</v>
      </c>
      <c r="E34" s="5"/>
      <c r="G34"/>
      <c r="H34"/>
      <c r="I34"/>
      <c r="J34"/>
      <c r="K34"/>
    </row>
    <row r="35" spans="2:11" ht="15" x14ac:dyDescent="0.2">
      <c r="C35" s="6" t="s">
        <v>75</v>
      </c>
      <c r="D35" s="6" t="s">
        <v>45</v>
      </c>
      <c r="E35" s="5"/>
      <c r="G35"/>
      <c r="H35"/>
      <c r="I35"/>
      <c r="J35"/>
      <c r="K35"/>
    </row>
    <row r="36" spans="2:11" ht="15" x14ac:dyDescent="0.2">
      <c r="C36" s="6" t="s">
        <v>76</v>
      </c>
      <c r="D36" s="6" t="s">
        <v>13</v>
      </c>
      <c r="E36" s="5"/>
      <c r="G36"/>
      <c r="H36"/>
      <c r="I36"/>
      <c r="J36"/>
      <c r="K36"/>
    </row>
    <row r="37" spans="2:11" ht="15" x14ac:dyDescent="0.2">
      <c r="C37" s="13" t="s">
        <v>17</v>
      </c>
      <c r="D37" s="24" t="str">
        <f>"Totaal "&amp; C33</f>
        <v>Totaal Subsidies conform contract</v>
      </c>
      <c r="E37" s="27">
        <f>SUM(E34:E36)</f>
        <v>0</v>
      </c>
      <c r="G37"/>
      <c r="H37"/>
      <c r="I37"/>
      <c r="J37"/>
      <c r="K37"/>
    </row>
    <row r="38" spans="2:11" ht="15" x14ac:dyDescent="0.2">
      <c r="C38" s="13"/>
      <c r="E38" s="27"/>
      <c r="G38"/>
      <c r="H38"/>
      <c r="I38"/>
      <c r="J38"/>
      <c r="K38"/>
    </row>
    <row r="39" spans="2:11" ht="15" x14ac:dyDescent="0.2">
      <c r="C39" s="13" t="s">
        <v>18</v>
      </c>
      <c r="D39" s="6" t="s">
        <v>11</v>
      </c>
      <c r="E39" s="5"/>
      <c r="G39"/>
      <c r="H39"/>
      <c r="I39"/>
      <c r="J39"/>
      <c r="K39"/>
    </row>
    <row r="40" spans="2:11" ht="15" x14ac:dyDescent="0.2">
      <c r="C40" s="13" t="s">
        <v>19</v>
      </c>
      <c r="D40" s="6" t="s">
        <v>14</v>
      </c>
      <c r="E40" s="5"/>
      <c r="G40"/>
      <c r="H40"/>
      <c r="I40"/>
      <c r="J40"/>
      <c r="K40"/>
    </row>
    <row r="41" spans="2:11" ht="15" x14ac:dyDescent="0.2">
      <c r="C41" s="13"/>
      <c r="D41" s="6" t="s">
        <v>83</v>
      </c>
      <c r="E41" s="48" t="str">
        <f>IF(OR('Toe te kennen TVOV 2023'!G40=0,'Toe te kennen TVOV 2023'!G40=""),"",E40/((1+E28)*'Toe te kennen TVOV 2023'!G40))</f>
        <v/>
      </c>
      <c r="G41"/>
      <c r="H41"/>
      <c r="I41"/>
      <c r="J41"/>
      <c r="K41"/>
    </row>
    <row r="42" spans="2:11" ht="15" x14ac:dyDescent="0.2">
      <c r="C42" s="13"/>
      <c r="G42"/>
      <c r="H42"/>
      <c r="I42"/>
      <c r="J42"/>
      <c r="K42"/>
    </row>
    <row r="43" spans="2:11" ht="15" x14ac:dyDescent="0.2">
      <c r="C43" s="6" t="s">
        <v>67</v>
      </c>
      <c r="D43" s="6" t="s">
        <v>72</v>
      </c>
      <c r="E43" s="5"/>
      <c r="G43"/>
      <c r="H43"/>
      <c r="I43"/>
      <c r="J43"/>
      <c r="K43"/>
    </row>
    <row r="44" spans="2:11" ht="15" x14ac:dyDescent="0.2">
      <c r="C44" s="6" t="s">
        <v>68</v>
      </c>
      <c r="D44" s="6" t="s">
        <v>71</v>
      </c>
      <c r="E44" s="5"/>
      <c r="G44"/>
      <c r="H44"/>
      <c r="I44"/>
      <c r="J44"/>
      <c r="K44"/>
    </row>
    <row r="45" spans="2:11" ht="15" x14ac:dyDescent="0.2">
      <c r="C45" s="13" t="s">
        <v>69</v>
      </c>
      <c r="D45" s="24" t="s">
        <v>70</v>
      </c>
      <c r="E45" s="27">
        <f>SUM(E43:E44)</f>
        <v>0</v>
      </c>
      <c r="G45"/>
      <c r="H45"/>
      <c r="I45"/>
      <c r="J45"/>
      <c r="K45"/>
    </row>
    <row r="46" spans="2:11" ht="15" x14ac:dyDescent="0.2">
      <c r="B46" s="30" t="s">
        <v>84</v>
      </c>
      <c r="C46" s="30"/>
      <c r="D46" s="14"/>
      <c r="E46" s="51">
        <f>SUM(E34,E36,E39:E40,E43)</f>
        <v>0</v>
      </c>
      <c r="F46" s="70"/>
      <c r="G46"/>
      <c r="H46"/>
      <c r="I46"/>
      <c r="J46"/>
      <c r="K46"/>
    </row>
    <row r="47" spans="2:11" ht="15" x14ac:dyDescent="0.2">
      <c r="B47" s="30" t="s">
        <v>85</v>
      </c>
      <c r="C47" s="14"/>
      <c r="D47" s="14"/>
      <c r="E47" s="54">
        <f>SUM(E37,E39:E40,E45)</f>
        <v>0</v>
      </c>
      <c r="F47" s="49"/>
      <c r="G47"/>
      <c r="H47"/>
      <c r="I47"/>
      <c r="J47"/>
      <c r="K47"/>
    </row>
    <row r="48" spans="2:11" ht="15" x14ac:dyDescent="0.2">
      <c r="B48" s="33"/>
      <c r="C48" s="33"/>
      <c r="D48" s="34"/>
      <c r="E48" s="35"/>
      <c r="F48" s="34"/>
      <c r="G48"/>
      <c r="H48"/>
      <c r="I48"/>
      <c r="J48"/>
      <c r="K48"/>
    </row>
    <row r="49" spans="1:11" ht="15" x14ac:dyDescent="0.2">
      <c r="B49" s="13" t="s">
        <v>28</v>
      </c>
      <c r="C49" s="7" t="s">
        <v>86</v>
      </c>
      <c r="E49" s="72"/>
      <c r="F49" s="70"/>
      <c r="G49"/>
      <c r="H49"/>
      <c r="I49"/>
      <c r="J49"/>
      <c r="K49"/>
    </row>
    <row r="50" spans="1:11" ht="15" x14ac:dyDescent="0.2">
      <c r="C50" s="7"/>
      <c r="E50" s="60"/>
      <c r="G50"/>
      <c r="H50"/>
      <c r="I50"/>
      <c r="J50"/>
      <c r="K50"/>
    </row>
    <row r="51" spans="1:11" ht="15" x14ac:dyDescent="0.2">
      <c r="B51" s="7" t="s">
        <v>88</v>
      </c>
      <c r="C51" s="7"/>
      <c r="E51" s="51">
        <f>SUM(E47,E49)</f>
        <v>0</v>
      </c>
      <c r="F51" s="71">
        <f>IF(E49=0,0,E51/-E49)</f>
        <v>0</v>
      </c>
      <c r="G51"/>
      <c r="H51"/>
      <c r="I51"/>
      <c r="J51"/>
      <c r="K51"/>
    </row>
    <row r="52" spans="1:11" ht="15" x14ac:dyDescent="0.2">
      <c r="B52" s="7"/>
      <c r="C52" s="7"/>
      <c r="E52" s="70"/>
      <c r="F52" s="47"/>
      <c r="G52"/>
      <c r="H52"/>
      <c r="I52"/>
      <c r="J52"/>
      <c r="K52"/>
    </row>
    <row r="53" spans="1:11" x14ac:dyDescent="0.15">
      <c r="A53" s="7" t="s">
        <v>36</v>
      </c>
    </row>
    <row r="55" spans="1:11" x14ac:dyDescent="0.15">
      <c r="D55" s="6" t="s">
        <v>54</v>
      </c>
      <c r="E55" s="36">
        <f>MAX(0,(-E49-E46))</f>
        <v>0</v>
      </c>
      <c r="I55" s="20"/>
    </row>
    <row r="56" spans="1:11" x14ac:dyDescent="0.15">
      <c r="D56" s="6" t="s">
        <v>40</v>
      </c>
      <c r="E56" s="36">
        <f>'TVOV 2023 max'!E59</f>
        <v>0</v>
      </c>
    </row>
    <row r="57" spans="1:11" x14ac:dyDescent="0.15">
      <c r="D57" s="6" t="s">
        <v>57</v>
      </c>
      <c r="E57" s="36">
        <f>MIN(E55,E56)</f>
        <v>0</v>
      </c>
    </row>
    <row r="58" spans="1:11" x14ac:dyDescent="0.15">
      <c r="D58" s="6" t="s">
        <v>80</v>
      </c>
      <c r="E58" s="36">
        <f>E51+E57</f>
        <v>0</v>
      </c>
      <c r="F58" s="38">
        <f>IF(E49=0,0,E58/-E49)</f>
        <v>0</v>
      </c>
    </row>
    <row r="59" spans="1:11" x14ac:dyDescent="0.15">
      <c r="D59" s="6" t="s">
        <v>56</v>
      </c>
      <c r="E59" s="36">
        <f>IF(E58&gt;0,E58,0)</f>
        <v>0</v>
      </c>
      <c r="F59" s="38"/>
    </row>
    <row r="60" spans="1:11" x14ac:dyDescent="0.15">
      <c r="E60" s="36"/>
      <c r="F60" s="38"/>
    </row>
    <row r="61" spans="1:11" x14ac:dyDescent="0.15">
      <c r="C61" s="67" t="s">
        <v>22</v>
      </c>
      <c r="D61" s="30" t="s">
        <v>58</v>
      </c>
      <c r="E61" s="37">
        <f>MAX(0,(E57-E59))</f>
        <v>0</v>
      </c>
      <c r="F61" s="7"/>
    </row>
    <row r="62" spans="1:11" x14ac:dyDescent="0.15">
      <c r="D62" s="6" t="s">
        <v>89</v>
      </c>
      <c r="E62" s="36">
        <f>E51+E61</f>
        <v>0</v>
      </c>
      <c r="F62" s="38">
        <f>IF(E49=0,0,E62/-E49)</f>
        <v>0</v>
      </c>
    </row>
    <row r="63" spans="1:11" x14ac:dyDescent="0.15">
      <c r="E63" s="36"/>
    </row>
  </sheetData>
  <sheetProtection algorithmName="SHA-512" hashValue="q0b7FsesFdcmr9NQwVuKUwN/N8HfcP25NuRDXoH4Ufs7kMu8l02quZB1kDamSj7+lV/0M8HBPeX6Z6W7Jcan7A==" saltValue="wo2XyTmjM4cjq2SsWG3qoQ==" spinCount="100000" sheet="1" objects="1" scenarios="1"/>
  <dataValidations count="2">
    <dataValidation allowBlank="1" showInputMessage="1" showErrorMessage="1" promptTitle="Daadwerkelijke kosten 2023" prompt="Negatieve waarde invoeren" sqref="E49" xr:uid="{4F040979-A797-F549-AD17-5B8389279B3B}"/>
    <dataValidation allowBlank="1" showInputMessage="1" showErrorMessage="1" errorTitle="Herstelpercentage" error="Minimaal 82, maximaal 100" promptTitle="Herstelpercentage" prompt="Minimaal 82, maximaal 100. Minder dan 82 levert de maximale subsidie op (gebaseerd op 82% herstel)." sqref="E41" xr:uid="{1CF86C9E-DECB-0B48-B251-33705A7C526B}"/>
  </dataValidation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a6e1c2d-c477-43f6-b3eb-0761957edcca" xsi:nil="true"/>
    <lcf76f155ced4ddcb4097134ff3c332f xmlns="d29ef02d-dca2-4008-a09f-102c2d73e07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1149550871594599170ABFE3D481F3" ma:contentTypeVersion="16" ma:contentTypeDescription="Een nieuw document maken." ma:contentTypeScope="" ma:versionID="dfcdbc1878d0e6ff15e5b5d251a3bc09">
  <xsd:schema xmlns:xsd="http://www.w3.org/2001/XMLSchema" xmlns:xs="http://www.w3.org/2001/XMLSchema" xmlns:p="http://schemas.microsoft.com/office/2006/metadata/properties" xmlns:ns2="d29ef02d-dca2-4008-a09f-102c2d73e077" xmlns:ns3="ea6e1c2d-c477-43f6-b3eb-0761957edcca" targetNamespace="http://schemas.microsoft.com/office/2006/metadata/properties" ma:root="true" ma:fieldsID="c0070e9e3b785841dbed51af6a06aa75" ns2:_="" ns3:_="">
    <xsd:import namespace="d29ef02d-dca2-4008-a09f-102c2d73e077"/>
    <xsd:import namespace="ea6e1c2d-c477-43f6-b3eb-0761957edc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ef02d-dca2-4008-a09f-102c2d73e0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d031cafa-bca9-4815-aec0-7277a07355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6e1c2d-c477-43f6-b3eb-0761957edcc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c6f6a2c-bd97-4095-a416-d97c42ef1514}" ma:internalName="TaxCatchAll" ma:showField="CatchAllData" ma:web="ea6e1c2d-c477-43f6-b3eb-0761957edc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467BB9-EF07-4E64-9E64-FF23ABAF83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1073ED-BB8A-457F-A54F-76318C413395}">
  <ds:schemaRefs>
    <ds:schemaRef ds:uri="http://schemas.microsoft.com/office/2006/documentManagement/types"/>
    <ds:schemaRef ds:uri="d29ef02d-dca2-4008-a09f-102c2d73e077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ea6e1c2d-c477-43f6-b3eb-0761957edcc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3DDB527-1A41-46AD-9F3E-ADD8956E99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Toe te kennen TVOV 2023</vt:lpstr>
      <vt:lpstr>TVOV 2023 max</vt:lpstr>
      <vt:lpstr>Vast te stellen TVOV 2023</vt:lpstr>
    </vt:vector>
  </TitlesOfParts>
  <Manager/>
  <Company>Hypercube Business Innovation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Rijnhout, Rob</dc:creator>
  <cp:keywords/>
  <dc:description/>
  <cp:lastModifiedBy>Rob Rijnhout</cp:lastModifiedBy>
  <cp:lastPrinted>2021-05-11T13:21:38Z</cp:lastPrinted>
  <dcterms:created xsi:type="dcterms:W3CDTF">2020-09-02T12:02:26Z</dcterms:created>
  <dcterms:modified xsi:type="dcterms:W3CDTF">2023-01-30T13:07:17Z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0x010100E11149550871594599170ABFE3D481F3</vt:lpwstr>
  </property>
</Properties>
</file>